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stenSchinke\Documents\EBF-Energie\src\Excel\trunk\Foerderrechner\"/>
    </mc:Choice>
  </mc:AlternateContent>
  <xr:revisionPtr revIDLastSave="0" documentId="13_ncr:1_{4CA5E727-B194-4D71-B1C5-1846B747052D}" xr6:coauthVersionLast="47" xr6:coauthVersionMax="47" xr10:uidLastSave="{00000000-0000-0000-0000-000000000000}"/>
  <workbookProtection workbookAlgorithmName="SHA-512" workbookHashValue="25oAH0afktwID3W86YBKaXXHfrQrUGCswPGp2d21MVGPW5rNyyeLaWjUmJnG5WTah15hLckmWhnHZ2pX2RonxA==" workbookSaltValue="hjfwMmD1iy6InQ3eUlPb6A==" workbookSpinCount="100000" lockStructure="1"/>
  <bookViews>
    <workbookView xWindow="-120" yWindow="-120" windowWidth="29040" windowHeight="15720" xr2:uid="{BA0EF246-500E-4AB0-B215-559852017068}"/>
  </bookViews>
  <sheets>
    <sheet name="Wohngebäude" sheetId="1" r:id="rId1"/>
    <sheet name="Nichtwohngebäude" sheetId="4" r:id="rId2"/>
    <sheet name="NWG" sheetId="3" state="hidden" r:id="rId3"/>
    <sheet name="Daten" sheetId="2" state="hidden" r:id="rId4"/>
    <sheet name="Lizenz und Hinweise" sheetId="5" r:id="rId5"/>
  </sheets>
  <definedNames>
    <definedName name="_xlnm._FilterDatabase" localSheetId="0" hidden="1">Wohngebäude!$B$7:$B$8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22" i="1"/>
  <c r="C29" i="1"/>
  <c r="E23" i="4"/>
  <c r="E31" i="4"/>
  <c r="C23" i="4"/>
  <c r="C31" i="4"/>
  <c r="E34" i="1"/>
  <c r="E26" i="1"/>
  <c r="C26" i="1"/>
  <c r="C22" i="4"/>
  <c r="H13" i="4" s="1"/>
  <c r="C19" i="4"/>
  <c r="E21" i="4"/>
  <c r="B27" i="3"/>
  <c r="C26" i="4"/>
  <c r="B21" i="3"/>
  <c r="B18" i="3"/>
  <c r="B31" i="3" s="1"/>
  <c r="B32" i="3" s="1"/>
  <c r="B33" i="3" s="1"/>
  <c r="B17" i="3"/>
  <c r="C21" i="4"/>
  <c r="C20" i="4"/>
  <c r="B15" i="3"/>
  <c r="H9" i="4"/>
  <c r="E24" i="1"/>
  <c r="H9" i="1"/>
  <c r="B16" i="3"/>
  <c r="C30" i="1"/>
  <c r="C23" i="1"/>
  <c r="C24" i="1" s="1"/>
  <c r="C22" i="1"/>
  <c r="C25" i="1" s="1"/>
  <c r="H13" i="1" s="1"/>
  <c r="C34" i="1" l="1"/>
  <c r="C35" i="1" s="1"/>
  <c r="C36" i="1" s="1"/>
  <c r="C32" i="4"/>
  <c r="C33" i="4" s="1"/>
  <c r="C36" i="4"/>
  <c r="C37" i="4" s="1"/>
  <c r="C38" i="4" s="1"/>
  <c r="B26" i="3"/>
  <c r="B28" i="3" s="1"/>
  <c r="C39" i="1" l="1"/>
  <c r="C40" i="1" s="1"/>
  <c r="C41" i="1" s="1"/>
  <c r="H11" i="4"/>
  <c r="H12" i="4" s="1"/>
  <c r="H11" i="1" l="1"/>
  <c r="H12" i="1" s="1"/>
  <c r="H10" i="4"/>
  <c r="H10" i="1" l="1"/>
</calcChain>
</file>

<file path=xl/sharedStrings.xml><?xml version="1.0" encoding="utf-8"?>
<sst xmlns="http://schemas.openxmlformats.org/spreadsheetml/2006/main" count="173" uniqueCount="89">
  <si>
    <t>EBF Energieberatung</t>
  </si>
  <si>
    <t>Förderbedingungen Stand 21.12.2023</t>
  </si>
  <si>
    <t>Maßnahmen</t>
  </si>
  <si>
    <t>Gebäude</t>
  </si>
  <si>
    <t>Wohngebäude</t>
  </si>
  <si>
    <t>Nichtwohngebäude</t>
  </si>
  <si>
    <t>Eingaben</t>
  </si>
  <si>
    <t>BEG-EM Förderrechner Wohngebäude</t>
  </si>
  <si>
    <t>Anzahl Wohneinheiten</t>
  </si>
  <si>
    <t>Maßnahmenart</t>
  </si>
  <si>
    <t>Förderfähige Ausgaben</t>
  </si>
  <si>
    <t>ISFP-Maßnahme?</t>
  </si>
  <si>
    <t>Optionen</t>
  </si>
  <si>
    <t>ja</t>
  </si>
  <si>
    <t>nein</t>
  </si>
  <si>
    <t>Einkommensbonus?</t>
  </si>
  <si>
    <t>Fördersätze</t>
  </si>
  <si>
    <t>Investition</t>
  </si>
  <si>
    <t>Heizung</t>
  </si>
  <si>
    <t>sonstige</t>
  </si>
  <si>
    <t>Kreditförderung</t>
  </si>
  <si>
    <t>Förderung</t>
  </si>
  <si>
    <t>andere</t>
  </si>
  <si>
    <t>Nettogrundfläche (m²)</t>
  </si>
  <si>
    <t>BEG-EM Förderrechner Nichtwohngebäude</t>
  </si>
  <si>
    <t xml:space="preserve">effektiver Fördersatz </t>
  </si>
  <si>
    <t>Fördersatz bezogen auf die Investitionssumme</t>
  </si>
  <si>
    <t>Fördersatz bezogen auf förderfähige Ausgaben</t>
  </si>
  <si>
    <t>Baubegleitung</t>
  </si>
  <si>
    <t>Förderung Effizienzmaßnahme</t>
  </si>
  <si>
    <t>Förderung Baubegleitung</t>
  </si>
  <si>
    <t>Baubegleitungskosten</t>
  </si>
  <si>
    <t>Investition für Effizienzmaßnahme</t>
  </si>
  <si>
    <t>Investition für Baubegleitung</t>
  </si>
  <si>
    <t>Fördersatz bezogen auf Kosten für Baubegleitung</t>
  </si>
  <si>
    <t>bei NWG sind diese Fördersätze fest und es gibt keine Boni</t>
  </si>
  <si>
    <t>max. förderfähige Ausgaben</t>
  </si>
  <si>
    <t>Bonus, wenn als Wärmequelle Wasser, Erdreich oder Abwasser erschlossen wird oder ein natürliches Kältemittel eingesetzt wird</t>
  </si>
  <si>
    <t>Heizung: WP 5 %-Förderbonus?</t>
  </si>
  <si>
    <t>bei NWG sind diese Fördersätze fest und es gibt keine Boni (außer WP-Effizienzbonus)</t>
  </si>
  <si>
    <t>Wichtig: Dies ist eine unverbindliche Berechnung! Den tatsächlichen Fördersatz teilt das BAFA im ZWB mit.</t>
  </si>
  <si>
    <t>Hinweis</t>
  </si>
  <si>
    <t>Maßnahmenkosten</t>
  </si>
  <si>
    <t>Investition für Effizienzmaßnahme inkl. Umfeldmaßnahmen</t>
  </si>
  <si>
    <t>Kosten für Baubegleitung durch den Energieeffizienzexperten und Fachplanung (z.B. durch Handwerksfachbetriebe)</t>
  </si>
  <si>
    <t>ja, wenn die Maßnahme in einem ISFP empfohlen wird</t>
  </si>
  <si>
    <t>Anzahl der Wohneinheiten im Gebäude</t>
  </si>
  <si>
    <t>für Maßnahmen zur Wärmeerzeugung gelten andere Bedingungen als für alle anderen Maßnahmen am Gebäude (Gebäudehülle, Anlagentechnik, Heizungsoptimierung)</t>
  </si>
  <si>
    <t>Heizungstauschbonus (Klimageschwindigkeitsbonus)?</t>
  </si>
  <si>
    <t>Ergebnis der Berechnung</t>
  </si>
  <si>
    <t>möglicher Förderbetrag</t>
  </si>
  <si>
    <t>Eigenanteil</t>
  </si>
  <si>
    <t>Details zur Berechnung:</t>
  </si>
  <si>
    <t>Gebäudehülle, Anlagentechnik (außer Heizung), Heizungsoptimierung</t>
  </si>
  <si>
    <t>Eff. Fördersatz</t>
  </si>
  <si>
    <t>Gesamtkosten der Maßnahme inkl. Baubegleitung</t>
  </si>
  <si>
    <t>Heizungsoptimierung</t>
  </si>
  <si>
    <t>Gebäudehülle, Anlagentechnik (außer Heizung)</t>
  </si>
  <si>
    <t>Fördersatz bezogen auf die Maßnahmenkosten</t>
  </si>
  <si>
    <t xml:space="preserve">EBF Energieberatung - Kontakt: </t>
  </si>
  <si>
    <t>info@ebf-energieberatung.de</t>
  </si>
  <si>
    <t>Tel. 0571 / 59 64 17 71</t>
  </si>
  <si>
    <t>zusätzlich möglicher geförderter Kreditbetrag (KfW)</t>
  </si>
  <si>
    <t>Effizienzbonus für Heizung?</t>
  </si>
  <si>
    <t>ja, wenn eine Wärmepumpe eingebaut wird und als Wärmequelle Wasser, Erdreich oder Abwasser erschlossen wird oder ein natürliches Kältemittel eingesetzt wird</t>
  </si>
  <si>
    <t>Nettogrundfläche des Gebäudes (m²)</t>
  </si>
  <si>
    <t>Nettogrundfläche im thermisch konditionierten Gebäudevolumen (gemäß GEG)</t>
  </si>
  <si>
    <t>Hier können Sie Details der Lizenz einsehen:</t>
  </si>
  <si>
    <t>Durch die Verwendung des Förderrechners stimmen Sie allen Lizenzbedingungen zu.</t>
  </si>
  <si>
    <t>Der Förderrechner bietet eine unverbindliche Berechnung von Fördersätzen und Fördermittelhöhen an.</t>
  </si>
  <si>
    <t>Die Verwendung des Förderrechners und die Nutzung der Ergebnisse erfolgt auf eigene Verantwortung.</t>
  </si>
  <si>
    <t>CC BY-NC-ND 4.0</t>
  </si>
  <si>
    <t>https://creativecommons.org/licenses/by-nc-nd/4.0/deed.de</t>
  </si>
  <si>
    <t>BEG EM Förderrechner © 2024 EBF Energieberatung ist lizensiert unter</t>
  </si>
  <si>
    <t>EBF Energieberatung übernimmt keinerlei Haftung für die Richtigkeit oder Aktualität der Angaben im Fördermittelrechner.</t>
  </si>
  <si>
    <t>Gebäudehülle (z.B. Fenster, Dach)</t>
  </si>
  <si>
    <t>Anlagentechnik (außer Heizung), z.B. Lüftungsanlage</t>
  </si>
  <si>
    <t>Hinweise zur Benutzung:</t>
  </si>
  <si>
    <t>Hier finden Sie eine Kurzübersicht über die möglichen Fördersätze:</t>
  </si>
  <si>
    <t>Der Klimageschwindigkeitsbonus wird in den kommenden Jahren sukzessive abgesenkt, siehe Förderrichtlinie.</t>
  </si>
  <si>
    <t>Die aktuellen Förderbedingungen finden Sie im Bundesanzeiger (BAnz AT 29.12.2023 B1):</t>
  </si>
  <si>
    <t>https://www.bundesanzeiger.de/pub/publication/TevdpcR9NeEp7m7RhbJ/content/TevdpcR9NeEp7m7RhbJ/BAnz%20AT%2029.12.2023%20B1.pdf?inline</t>
  </si>
  <si>
    <t>https://www.bafa.de/SharedDocs/Downloads/DE/Energie/beg_em_foerderuebersicht.pdf?__blob=publicationFile&amp;v=4</t>
  </si>
  <si>
    <t>Geben Sie Daten in den orange hinterlegten Feldern ein. Die Berechnungsergebnisse werden Ihnen dann sofort angezeigt.</t>
  </si>
  <si>
    <t>Dies ist eine unverbindliche Berechnung! Verbindlich ist der im Zuwendungsbescheid mitgeteilte Förderbetrag.</t>
  </si>
  <si>
    <t>Förderbedingungen Stand 21.12.2023 (aktuell geltende Richtlinie)</t>
  </si>
  <si>
    <t>letzte Aktualisierung des Rechners: 06.11.2024</t>
  </si>
  <si>
    <t>ja bei selbstnutzenden Eigentümern, wenn eine funktionstüchtige Öl-, Kohle-, Gas-Etagen- oder Nachtspeicherheizung oder eine funktionstüchtige, mindestens 20 Jahre alte Gas- oder Biomasse-Zentralheizung ausgetauscht wird - nur Erstwohnsitz, nur für die erste Wohneinheit</t>
  </si>
  <si>
    <t>ja bei einem zu versteuerndes Haushaltseinkommen bis 40.000 €/a - nur Erstwohnsitz, nur für die erste Wohneinheit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</si>
</sst>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venir Next LT Pro"/>
      <family val="2"/>
    </font>
    <font>
      <u/>
      <sz val="11"/>
      <color theme="10"/>
      <name val="Avenir Next LT Pro"/>
      <family val="2"/>
    </font>
    <font>
      <b/>
      <sz val="11"/>
      <name val="Avenir Next LT Pro"/>
      <family val="2"/>
    </font>
    <font>
      <b/>
      <sz val="13"/>
      <color theme="3"/>
      <name val="Avenir Next LT Pro"/>
      <family val="2"/>
    </font>
    <font>
      <b/>
      <sz val="15"/>
      <color theme="3"/>
      <name val="Avenir Next LT Pro"/>
      <family val="2"/>
    </font>
    <font>
      <i/>
      <sz val="11"/>
      <color rgb="FF7F7F7F"/>
      <name val="Avenir Next LT Pro"/>
      <family val="2"/>
    </font>
    <font>
      <b/>
      <sz val="14"/>
      <color theme="1"/>
      <name val="Avenir Next LT Pro"/>
      <family val="2"/>
    </font>
    <font>
      <b/>
      <sz val="14"/>
      <color theme="9"/>
      <name val="Avenir Next LT Pro"/>
      <family val="2"/>
    </font>
    <font>
      <sz val="10"/>
      <color theme="1"/>
      <name val="Avenir Next LT Pro"/>
      <family val="2"/>
    </font>
    <font>
      <b/>
      <sz val="11"/>
      <color theme="1"/>
      <name val="Avenir Next LT Pro"/>
      <family val="2"/>
    </font>
    <font>
      <b/>
      <sz val="14"/>
      <color rgb="FF3F3F76"/>
      <name val="Avenir Next LT Pro"/>
      <family val="2"/>
    </font>
    <font>
      <b/>
      <sz val="11"/>
      <color rgb="FFFA7D00"/>
      <name val="Avenir Next LT Pro"/>
      <family val="2"/>
    </font>
    <font>
      <i/>
      <sz val="11"/>
      <color rgb="FFFF0000"/>
      <name val="Avenir Next LT Pro"/>
      <family val="2"/>
    </font>
    <font>
      <sz val="11"/>
      <color theme="9"/>
      <name val="Avenir Next LT Pro"/>
      <family val="2"/>
    </font>
    <font>
      <sz val="18"/>
      <color theme="1"/>
      <name val="Avenir Next LT Pro"/>
      <family val="2"/>
    </font>
    <font>
      <b/>
      <sz val="26"/>
      <color theme="1"/>
      <name val="Avenir Next LT Pro"/>
      <family val="2"/>
    </font>
    <font>
      <b/>
      <sz val="11"/>
      <color rgb="FF3F3F76"/>
      <name val="Avenir Next LT Pro"/>
      <family val="2"/>
    </font>
    <font>
      <b/>
      <sz val="18"/>
      <color theme="1"/>
      <name val="Avenir Next LT Pro"/>
      <family val="2"/>
    </font>
    <font>
      <u/>
      <sz val="11"/>
      <color theme="1"/>
      <name val="Avenir Next LT Pro"/>
      <family val="2"/>
    </font>
    <font>
      <u/>
      <sz val="18"/>
      <color theme="10"/>
      <name val="Avenir Next LT Pro"/>
      <family val="2"/>
    </font>
    <font>
      <sz val="10"/>
      <name val="Avenir Next LT Pro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theme="4"/>
      </bottom>
      <diagonal/>
    </border>
    <border>
      <left/>
      <right style="medium">
        <color indexed="64"/>
      </right>
      <top style="medium">
        <color indexed="64"/>
      </top>
      <bottom style="thick">
        <color theme="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3" borderId="2" applyNumberFormat="0" applyAlignment="0" applyProtection="0"/>
    <xf numFmtId="9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1">
    <xf numFmtId="0" fontId="0" fillId="0" borderId="0" xfId="0"/>
    <xf numFmtId="0" fontId="6" fillId="0" borderId="0" xfId="0" applyFont="1"/>
    <xf numFmtId="0" fontId="5" fillId="0" borderId="0" xfId="0" applyFont="1"/>
    <xf numFmtId="0" fontId="2" fillId="0" borderId="1" xfId="2"/>
    <xf numFmtId="44" fontId="4" fillId="3" borderId="2" xfId="4" applyNumberFormat="1"/>
    <xf numFmtId="0" fontId="3" fillId="2" borderId="2" xfId="3" applyProtection="1">
      <protection locked="0"/>
    </xf>
    <xf numFmtId="44" fontId="3" fillId="2" borderId="2" xfId="1" applyFont="1" applyFill="1" applyBorder="1" applyProtection="1">
      <protection locked="0"/>
    </xf>
    <xf numFmtId="164" fontId="4" fillId="3" borderId="2" xfId="4" applyNumberFormat="1"/>
    <xf numFmtId="44" fontId="3" fillId="2" borderId="2" xfId="3" applyNumberFormat="1" applyProtection="1">
      <protection locked="0"/>
    </xf>
    <xf numFmtId="9" fontId="4" fillId="3" borderId="2" xfId="4" applyNumberFormat="1"/>
    <xf numFmtId="0" fontId="7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0" xfId="8" applyFont="1"/>
    <xf numFmtId="0" fontId="13" fillId="0" borderId="0" xfId="0" applyFont="1"/>
    <xf numFmtId="0" fontId="14" fillId="0" borderId="5" xfId="2" applyFont="1" applyBorder="1"/>
    <xf numFmtId="0" fontId="14" fillId="0" borderId="6" xfId="2" applyFont="1" applyBorder="1"/>
    <xf numFmtId="0" fontId="11" fillId="0" borderId="6" xfId="0" applyFont="1" applyBorder="1"/>
    <xf numFmtId="0" fontId="14" fillId="0" borderId="7" xfId="2" applyFont="1" applyBorder="1" applyAlignment="1">
      <alignment wrapText="1"/>
    </xf>
    <xf numFmtId="0" fontId="15" fillId="0" borderId="15" xfId="6" applyFont="1" applyBorder="1"/>
    <xf numFmtId="0" fontId="15" fillId="0" borderId="16" xfId="6" applyFont="1" applyBorder="1"/>
    <xf numFmtId="0" fontId="11" fillId="0" borderId="8" xfId="0" applyFont="1" applyBorder="1" applyAlignment="1">
      <alignment vertical="center"/>
    </xf>
    <xf numFmtId="0" fontId="11" fillId="0" borderId="4" xfId="0" applyFont="1" applyBorder="1"/>
    <xf numFmtId="0" fontId="16" fillId="0" borderId="9" xfId="7" applyFont="1" applyBorder="1" applyAlignment="1">
      <alignment wrapText="1"/>
    </xf>
    <xf numFmtId="0" fontId="11" fillId="0" borderId="13" xfId="0" applyFont="1" applyBorder="1"/>
    <xf numFmtId="0" fontId="11" fillId="0" borderId="14" xfId="0" applyFont="1" applyBorder="1"/>
    <xf numFmtId="0" fontId="16" fillId="0" borderId="9" xfId="7" applyFont="1" applyBorder="1" applyAlignment="1">
      <alignment vertical="center" wrapText="1"/>
    </xf>
    <xf numFmtId="44" fontId="18" fillId="4" borderId="9" xfId="1" applyFont="1" applyFill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0" fontId="19" fillId="0" borderId="0" xfId="0" applyFont="1"/>
    <xf numFmtId="0" fontId="20" fillId="0" borderId="8" xfId="0" applyFont="1" applyBorder="1" applyAlignment="1">
      <alignment vertical="center"/>
    </xf>
    <xf numFmtId="44" fontId="21" fillId="2" borderId="4" xfId="1" applyFont="1" applyFill="1" applyBorder="1" applyAlignment="1" applyProtection="1">
      <alignment vertical="center"/>
      <protection locked="0"/>
    </xf>
    <xf numFmtId="0" fontId="20" fillId="0" borderId="10" xfId="0" applyFont="1" applyBorder="1" applyAlignment="1">
      <alignment vertical="center"/>
    </xf>
    <xf numFmtId="44" fontId="21" fillId="2" borderId="11" xfId="3" applyNumberFormat="1" applyFont="1" applyBorder="1" applyAlignment="1" applyProtection="1">
      <alignment vertical="center"/>
      <protection locked="0"/>
    </xf>
    <xf numFmtId="0" fontId="11" fillId="0" borderId="11" xfId="0" applyFont="1" applyBorder="1"/>
    <xf numFmtId="0" fontId="16" fillId="0" borderId="12" xfId="7" applyFont="1" applyBorder="1" applyAlignment="1">
      <alignment vertical="center" wrapText="1"/>
    </xf>
    <xf numFmtId="0" fontId="15" fillId="0" borderId="3" xfId="6" applyFont="1"/>
    <xf numFmtId="0" fontId="15" fillId="0" borderId="3" xfId="6" applyFont="1" applyAlignment="1">
      <alignment wrapText="1"/>
    </xf>
    <xf numFmtId="0" fontId="11" fillId="0" borderId="8" xfId="0" applyFont="1" applyBorder="1"/>
    <xf numFmtId="0" fontId="11" fillId="0" borderId="8" xfId="0" applyFont="1" applyBorder="1" applyAlignment="1">
      <alignment wrapText="1"/>
    </xf>
    <xf numFmtId="0" fontId="23" fillId="0" borderId="9" xfId="7" applyFont="1" applyBorder="1" applyAlignment="1">
      <alignment wrapText="1"/>
    </xf>
    <xf numFmtId="0" fontId="11" fillId="0" borderId="10" xfId="0" applyFont="1" applyBorder="1"/>
    <xf numFmtId="0" fontId="16" fillId="0" borderId="12" xfId="7" applyFont="1" applyBorder="1" applyAlignment="1">
      <alignment wrapText="1"/>
    </xf>
    <xf numFmtId="0" fontId="20" fillId="4" borderId="8" xfId="0" applyFont="1" applyFill="1" applyBorder="1" applyAlignment="1">
      <alignment vertical="center"/>
    </xf>
    <xf numFmtId="0" fontId="20" fillId="4" borderId="5" xfId="0" applyFont="1" applyFill="1" applyBorder="1" applyAlignment="1">
      <alignment vertical="center" wrapText="1"/>
    </xf>
    <xf numFmtId="44" fontId="17" fillId="4" borderId="7" xfId="1" applyFont="1" applyFill="1" applyBorder="1" applyAlignment="1">
      <alignment vertical="center"/>
    </xf>
    <xf numFmtId="9" fontId="18" fillId="4" borderId="9" xfId="5" applyFont="1" applyFill="1" applyBorder="1" applyAlignment="1">
      <alignment vertical="center"/>
    </xf>
    <xf numFmtId="44" fontId="24" fillId="4" borderId="12" xfId="1" applyFont="1" applyFill="1" applyBorder="1" applyAlignment="1">
      <alignment vertical="center"/>
    </xf>
    <xf numFmtId="0" fontId="26" fillId="0" borderId="0" xfId="0" applyFont="1"/>
    <xf numFmtId="0" fontId="27" fillId="2" borderId="4" xfId="3" applyFont="1" applyBorder="1" applyAlignment="1" applyProtection="1">
      <alignment horizontal="right" vertical="center" wrapText="1"/>
      <protection locked="0"/>
    </xf>
    <xf numFmtId="0" fontId="27" fillId="2" borderId="4" xfId="3" applyFont="1" applyBorder="1" applyAlignment="1" applyProtection="1">
      <alignment vertical="center"/>
      <protection locked="0"/>
    </xf>
    <xf numFmtId="0" fontId="27" fillId="2" borderId="4" xfId="3" applyFont="1" applyBorder="1" applyAlignment="1" applyProtection="1">
      <alignment horizontal="right" vertical="center"/>
      <protection locked="0"/>
    </xf>
    <xf numFmtId="0" fontId="12" fillId="0" borderId="0" xfId="8" applyFont="1" applyProtection="1"/>
    <xf numFmtId="0" fontId="14" fillId="0" borderId="5" xfId="2" applyFont="1" applyBorder="1" applyProtection="1"/>
    <xf numFmtId="0" fontId="14" fillId="0" borderId="6" xfId="2" applyFont="1" applyBorder="1" applyProtection="1"/>
    <xf numFmtId="0" fontId="14" fillId="0" borderId="7" xfId="2" applyFont="1" applyBorder="1" applyAlignment="1" applyProtection="1">
      <alignment wrapText="1"/>
    </xf>
    <xf numFmtId="0" fontId="15" fillId="0" borderId="15" xfId="6" applyFont="1" applyBorder="1" applyProtection="1"/>
    <xf numFmtId="0" fontId="15" fillId="0" borderId="16" xfId="6" applyFont="1" applyBorder="1" applyProtection="1"/>
    <xf numFmtId="0" fontId="16" fillId="0" borderId="9" xfId="7" applyFont="1" applyBorder="1" applyAlignment="1" applyProtection="1">
      <alignment wrapText="1"/>
    </xf>
    <xf numFmtId="0" fontId="16" fillId="0" borderId="9" xfId="7" applyFont="1" applyBorder="1" applyAlignment="1" applyProtection="1">
      <alignment vertical="center" wrapText="1"/>
    </xf>
    <xf numFmtId="44" fontId="17" fillId="4" borderId="7" xfId="1" applyFont="1" applyFill="1" applyBorder="1" applyAlignment="1" applyProtection="1">
      <alignment vertical="center"/>
    </xf>
    <xf numFmtId="44" fontId="18" fillId="4" borderId="9" xfId="1" applyFont="1" applyFill="1" applyBorder="1" applyAlignment="1" applyProtection="1">
      <alignment vertical="center"/>
    </xf>
    <xf numFmtId="0" fontId="16" fillId="0" borderId="12" xfId="7" applyFont="1" applyBorder="1" applyAlignment="1" applyProtection="1">
      <alignment vertical="center" wrapText="1"/>
    </xf>
    <xf numFmtId="9" fontId="18" fillId="4" borderId="9" xfId="5" applyFont="1" applyFill="1" applyBorder="1" applyAlignment="1" applyProtection="1">
      <alignment vertical="center"/>
    </xf>
    <xf numFmtId="44" fontId="24" fillId="4" borderId="12" xfId="1" applyFont="1" applyFill="1" applyBorder="1" applyAlignment="1" applyProtection="1">
      <alignment vertical="center"/>
    </xf>
    <xf numFmtId="0" fontId="15" fillId="0" borderId="3" xfId="6" applyFont="1" applyProtection="1"/>
    <xf numFmtId="0" fontId="15" fillId="0" borderId="3" xfId="6" applyFont="1" applyAlignment="1" applyProtection="1">
      <alignment wrapText="1"/>
    </xf>
    <xf numFmtId="44" fontId="22" fillId="3" borderId="4" xfId="4" applyNumberFormat="1" applyFont="1" applyBorder="1" applyProtection="1"/>
    <xf numFmtId="0" fontId="23" fillId="0" borderId="9" xfId="7" applyFont="1" applyBorder="1" applyAlignment="1" applyProtection="1">
      <alignment wrapText="1"/>
    </xf>
    <xf numFmtId="0" fontId="14" fillId="0" borderId="8" xfId="2" applyFont="1" applyBorder="1" applyProtection="1"/>
    <xf numFmtId="0" fontId="14" fillId="0" borderId="4" xfId="2" applyFont="1" applyBorder="1" applyProtection="1"/>
    <xf numFmtId="9" fontId="22" fillId="3" borderId="4" xfId="4" applyNumberFormat="1" applyFont="1" applyBorder="1" applyProtection="1"/>
    <xf numFmtId="164" fontId="22" fillId="3" borderId="4" xfId="4" applyNumberFormat="1" applyFont="1" applyBorder="1" applyProtection="1"/>
    <xf numFmtId="164" fontId="22" fillId="3" borderId="11" xfId="4" applyNumberFormat="1" applyFont="1" applyBorder="1" applyProtection="1"/>
    <xf numFmtId="0" fontId="16" fillId="0" borderId="12" xfId="7" applyFont="1" applyBorder="1" applyAlignment="1" applyProtection="1">
      <alignment wrapText="1"/>
    </xf>
    <xf numFmtId="0" fontId="10" fillId="0" borderId="0" xfId="8" applyProtection="1"/>
    <xf numFmtId="0" fontId="25" fillId="0" borderId="0" xfId="0" applyFont="1"/>
    <xf numFmtId="0" fontId="28" fillId="0" borderId="0" xfId="0" applyFont="1"/>
    <xf numFmtId="0" fontId="20" fillId="0" borderId="0" xfId="0" applyFont="1"/>
    <xf numFmtId="0" fontId="29" fillId="0" borderId="0" xfId="0" applyFont="1"/>
    <xf numFmtId="0" fontId="30" fillId="0" borderId="0" xfId="8" applyFont="1" applyProtection="1">
      <protection locked="0"/>
    </xf>
    <xf numFmtId="0" fontId="31" fillId="4" borderId="10" xfId="8" applyFont="1" applyFill="1" applyBorder="1" applyAlignment="1" applyProtection="1">
      <alignment vertical="center" wrapText="1"/>
    </xf>
    <xf numFmtId="0" fontId="12" fillId="0" borderId="0" xfId="8" applyFont="1" applyProtection="1">
      <protection locked="0"/>
    </xf>
    <xf numFmtId="44" fontId="22" fillId="3" borderId="4" xfId="4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4" fillId="0" borderId="8" xfId="2" applyFont="1" applyBorder="1" applyAlignment="1">
      <alignment vertical="center"/>
    </xf>
    <xf numFmtId="0" fontId="14" fillId="0" borderId="4" xfId="2" applyFont="1" applyBorder="1" applyAlignment="1">
      <alignment vertical="center"/>
    </xf>
    <xf numFmtId="9" fontId="22" fillId="3" borderId="4" xfId="4" applyNumberFormat="1" applyFont="1" applyBorder="1" applyAlignment="1">
      <alignment vertical="center"/>
    </xf>
    <xf numFmtId="164" fontId="22" fillId="3" borderId="4" xfId="4" applyNumberFormat="1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164" fontId="22" fillId="3" borderId="11" xfId="4" applyNumberFormat="1" applyFont="1" applyBorder="1" applyAlignment="1">
      <alignment vertical="center"/>
    </xf>
  </cellXfs>
  <cellStyles count="9">
    <cellStyle name="Berechnung" xfId="4" builtinId="22"/>
    <cellStyle name="Eingabe" xfId="3" builtinId="20"/>
    <cellStyle name="Erklärender Text" xfId="7" builtinId="53"/>
    <cellStyle name="Link" xfId="8" builtinId="8"/>
    <cellStyle name="Prozent" xfId="5" builtinId="5"/>
    <cellStyle name="Standard" xfId="0" builtinId="0"/>
    <cellStyle name="Überschrift 1" xfId="6" builtinId="16"/>
    <cellStyle name="Überschrift 2" xfId="2" builtinId="17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http://creativecommons.org/licenses/by-nc-nd/4.0/?ref=chooser-v1" TargetMode="External"/><Relationship Id="rId1" Type="http://schemas.openxmlformats.org/officeDocument/2006/relationships/hyperlink" Target="http://creativecommons.org/licenses/by-nc/4.0/?ref=chooser-v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0</xdr:row>
      <xdr:rowOff>228601</xdr:rowOff>
    </xdr:from>
    <xdr:to>
      <xdr:col>7</xdr:col>
      <xdr:colOff>1342553</xdr:colOff>
      <xdr:row>3</xdr:row>
      <xdr:rowOff>114301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B108CAD-3FEE-F7EF-D90C-679D19E7B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228601"/>
          <a:ext cx="3323753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200026</xdr:rowOff>
    </xdr:from>
    <xdr:to>
      <xdr:col>7</xdr:col>
      <xdr:colOff>1357733</xdr:colOff>
      <xdr:row>3</xdr:row>
      <xdr:rowOff>95986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4189CB0-188D-44B9-9594-43944B078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5550" y="200026"/>
          <a:ext cx="3329408" cy="8770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190500</xdr:colOff>
      <xdr:row>1</xdr:row>
      <xdr:rowOff>190500</xdr:rowOff>
    </xdr:to>
    <xdr:sp macro="" textlink="">
      <xdr:nvSpPr>
        <xdr:cNvPr id="5121" name="AutoShape 1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2C0437-8425-F78F-0267-9A98E13F0876}"/>
            </a:ext>
          </a:extLst>
        </xdr:cNvPr>
        <xdr:cNvSpPr>
          <a:spLocks noChangeAspect="1" noChangeArrowheads="1"/>
        </xdr:cNvSpPr>
      </xdr:nvSpPr>
      <xdr:spPr bwMode="auto">
        <a:xfrm>
          <a:off x="0" y="190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200025</xdr:colOff>
      <xdr:row>1</xdr:row>
      <xdr:rowOff>0</xdr:rowOff>
    </xdr:from>
    <xdr:to>
      <xdr:col>0</xdr:col>
      <xdr:colOff>390525</xdr:colOff>
      <xdr:row>1</xdr:row>
      <xdr:rowOff>190500</xdr:rowOff>
    </xdr:to>
    <xdr:sp macro="" textlink="">
      <xdr:nvSpPr>
        <xdr:cNvPr id="5122" name="AutoShape 2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64206-95F0-7650-AA66-86B11C7158A7}"/>
            </a:ext>
          </a:extLst>
        </xdr:cNvPr>
        <xdr:cNvSpPr>
          <a:spLocks noChangeAspect="1" noChangeArrowheads="1"/>
        </xdr:cNvSpPr>
      </xdr:nvSpPr>
      <xdr:spPr bwMode="auto">
        <a:xfrm>
          <a:off x="200025" y="190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0</xdr:rowOff>
    </xdr:to>
    <xdr:sp macro="" textlink="">
      <xdr:nvSpPr>
        <xdr:cNvPr id="3073" name="AutoShape 1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4A21EC69-125D-E2E0-B03B-10210CE63FAC}"/>
            </a:ext>
          </a:extLst>
        </xdr:cNvPr>
        <xdr:cNvSpPr>
          <a:spLocks noChangeAspect="1" noChangeArrowheads="1"/>
        </xdr:cNvSpPr>
      </xdr:nvSpPr>
      <xdr:spPr bwMode="auto">
        <a:xfrm>
          <a:off x="8134350" y="4857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200025</xdr:colOff>
      <xdr:row>2</xdr:row>
      <xdr:rowOff>0</xdr:rowOff>
    </xdr:from>
    <xdr:to>
      <xdr:col>2</xdr:col>
      <xdr:colOff>390525</xdr:colOff>
      <xdr:row>3</xdr:row>
      <xdr:rowOff>0</xdr:rowOff>
    </xdr:to>
    <xdr:sp macro="" textlink="">
      <xdr:nvSpPr>
        <xdr:cNvPr id="3074" name="AutoShape 2">
          <a:hlinkClick xmlns:r="http://schemas.openxmlformats.org/officeDocument/2006/relationships" r:id="rId2" tgtFrame="_blank"/>
          <a:extLst>
            <a:ext uri="{FF2B5EF4-FFF2-40B4-BE49-F238E27FC236}">
              <a16:creationId xmlns:a16="http://schemas.microsoft.com/office/drawing/2014/main" id="{6AE60380-092C-83CE-4AB8-216219022C97}"/>
            </a:ext>
          </a:extLst>
        </xdr:cNvPr>
        <xdr:cNvSpPr>
          <a:spLocks noChangeAspect="1" noChangeArrowheads="1"/>
        </xdr:cNvSpPr>
      </xdr:nvSpPr>
      <xdr:spPr bwMode="auto">
        <a:xfrm>
          <a:off x="8334375" y="48577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ebf-energieberatung.d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ebf-energieberatung.de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afa.de/SharedDocs/Downloads/DE/Energie/beg_em_foerderuebersicht.pdf?__blob=publicationFile&amp;v=4" TargetMode="External"/><Relationship Id="rId2" Type="http://schemas.openxmlformats.org/officeDocument/2006/relationships/hyperlink" Target="https://www.bundesanzeiger.de/pub/publication/TevdpcR9NeEp7m7RhbJ/content/TevdpcR9NeEp7m7RhbJ/BAnz%20AT%2029.12.2023%20B1.pdf?inline" TargetMode="External"/><Relationship Id="rId1" Type="http://schemas.openxmlformats.org/officeDocument/2006/relationships/hyperlink" Target="http://creativecommons.org/licenses/by-nc/4.0/?ref=chooser-v1" TargetMode="External"/><Relationship Id="rId5" Type="http://schemas.openxmlformats.org/officeDocument/2006/relationships/drawing" Target="../drawings/drawing3.xml"/><Relationship Id="rId4" Type="http://schemas.openxmlformats.org/officeDocument/2006/relationships/hyperlink" Target="https://creativecommons.org/licenses/by-nc-nd/4.0/deed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DE4B4-FEC5-422E-9394-4A5D864C51FA}">
  <dimension ref="B1:H41"/>
  <sheetViews>
    <sheetView showGridLines="0" tabSelected="1" zoomScaleNormal="100" workbookViewId="0">
      <selection activeCell="C8" sqref="C8"/>
    </sheetView>
  </sheetViews>
  <sheetFormatPr baseColWidth="10" defaultRowHeight="15" x14ac:dyDescent="0.25"/>
  <cols>
    <col min="1" max="1" width="2.85546875" style="11" customWidth="1"/>
    <col min="2" max="2" width="34.5703125" style="11" customWidth="1"/>
    <col min="3" max="3" width="25.7109375" style="11" customWidth="1"/>
    <col min="4" max="4" width="7" style="11" customWidth="1"/>
    <col min="5" max="5" width="69.5703125" style="12" customWidth="1"/>
    <col min="6" max="6" width="11.42578125" style="11"/>
    <col min="7" max="7" width="30.140625" style="11" customWidth="1"/>
    <col min="8" max="8" width="34.140625" style="11" customWidth="1"/>
    <col min="9" max="16384" width="11.42578125" style="11"/>
  </cols>
  <sheetData>
    <row r="1" spans="2:8" ht="48" customHeight="1" x14ac:dyDescent="0.5">
      <c r="B1" s="48" t="s">
        <v>7</v>
      </c>
    </row>
    <row r="2" spans="2:8" x14ac:dyDescent="0.25">
      <c r="B2" s="11" t="s">
        <v>59</v>
      </c>
      <c r="C2" s="13" t="s">
        <v>60</v>
      </c>
      <c r="E2" s="12" t="s">
        <v>61</v>
      </c>
    </row>
    <row r="5" spans="2:8" x14ac:dyDescent="0.25">
      <c r="B5" s="14" t="s">
        <v>84</v>
      </c>
    </row>
    <row r="6" spans="2:8" ht="15.75" thickBot="1" x14ac:dyDescent="0.3"/>
    <row r="7" spans="2:8" ht="20.25" thickBot="1" x14ac:dyDescent="0.35">
      <c r="B7" s="15" t="s">
        <v>6</v>
      </c>
      <c r="C7" s="16"/>
      <c r="D7" s="17"/>
      <c r="E7" s="18" t="s">
        <v>41</v>
      </c>
      <c r="G7" s="19" t="s">
        <v>49</v>
      </c>
      <c r="H7" s="20"/>
    </row>
    <row r="8" spans="2:8" ht="16.5" thickTop="1" thickBot="1" x14ac:dyDescent="0.3">
      <c r="B8" s="21" t="s">
        <v>8</v>
      </c>
      <c r="C8" s="50">
        <v>2</v>
      </c>
      <c r="D8" s="22"/>
      <c r="E8" s="23" t="s">
        <v>46</v>
      </c>
      <c r="G8" s="24"/>
      <c r="H8" s="25"/>
    </row>
    <row r="9" spans="2:8" ht="45" x14ac:dyDescent="0.25">
      <c r="B9" s="21" t="s">
        <v>9</v>
      </c>
      <c r="C9" s="49" t="s">
        <v>18</v>
      </c>
      <c r="D9" s="22"/>
      <c r="E9" s="26" t="s">
        <v>47</v>
      </c>
      <c r="G9" s="44" t="s">
        <v>55</v>
      </c>
      <c r="H9" s="45">
        <f>SUM(C14:C15)</f>
        <v>41000</v>
      </c>
    </row>
    <row r="10" spans="2:8" ht="44.25" customHeight="1" x14ac:dyDescent="0.25">
      <c r="B10" s="28" t="s">
        <v>63</v>
      </c>
      <c r="C10" s="51" t="s">
        <v>13</v>
      </c>
      <c r="D10" s="22"/>
      <c r="E10" s="26" t="s">
        <v>64</v>
      </c>
      <c r="G10" s="43" t="s">
        <v>51</v>
      </c>
      <c r="H10" s="27">
        <f>H9-H11</f>
        <v>19475.000000000004</v>
      </c>
    </row>
    <row r="11" spans="2:8" ht="33" customHeight="1" x14ac:dyDescent="0.25">
      <c r="B11" s="21" t="s">
        <v>11</v>
      </c>
      <c r="C11" s="51" t="s">
        <v>13</v>
      </c>
      <c r="D11" s="22"/>
      <c r="E11" s="26" t="s">
        <v>45</v>
      </c>
      <c r="G11" s="43" t="s">
        <v>50</v>
      </c>
      <c r="H11" s="27">
        <f>SUM(C40,C35)</f>
        <v>21524.999999999996</v>
      </c>
    </row>
    <row r="12" spans="2:8" ht="77.25" customHeight="1" x14ac:dyDescent="0.25">
      <c r="B12" s="28" t="s">
        <v>48</v>
      </c>
      <c r="C12" s="51" t="s">
        <v>13</v>
      </c>
      <c r="D12" s="22"/>
      <c r="E12" s="26" t="s">
        <v>87</v>
      </c>
      <c r="G12" s="43" t="s">
        <v>54</v>
      </c>
      <c r="H12" s="46">
        <f>IF(H9=0,0,H11/H9)</f>
        <v>0.52499999999999991</v>
      </c>
    </row>
    <row r="13" spans="2:8" ht="30.75" customHeight="1" thickBot="1" x14ac:dyDescent="0.3">
      <c r="B13" s="21" t="s">
        <v>15</v>
      </c>
      <c r="C13" s="51" t="s">
        <v>13</v>
      </c>
      <c r="D13" s="22"/>
      <c r="E13" s="26" t="s">
        <v>88</v>
      </c>
      <c r="G13" s="81" t="s">
        <v>62</v>
      </c>
      <c r="H13" s="47">
        <f>C25</f>
        <v>40000</v>
      </c>
    </row>
    <row r="14" spans="2:8" ht="30" customHeight="1" x14ac:dyDescent="0.25">
      <c r="B14" s="30" t="s">
        <v>42</v>
      </c>
      <c r="C14" s="31">
        <v>40000</v>
      </c>
      <c r="D14" s="22"/>
      <c r="E14" s="26" t="s">
        <v>43</v>
      </c>
      <c r="G14" s="29" t="s">
        <v>85</v>
      </c>
    </row>
    <row r="15" spans="2:8" ht="30.75" thickBot="1" x14ac:dyDescent="0.3">
      <c r="B15" s="32" t="s">
        <v>31</v>
      </c>
      <c r="C15" s="33">
        <v>1000</v>
      </c>
      <c r="D15" s="34"/>
      <c r="E15" s="35" t="s">
        <v>44</v>
      </c>
      <c r="G15" s="29" t="s">
        <v>86</v>
      </c>
    </row>
    <row r="19" spans="2:5" ht="20.25" thickBot="1" x14ac:dyDescent="0.35">
      <c r="B19" s="36" t="s">
        <v>52</v>
      </c>
      <c r="C19" s="36"/>
      <c r="D19" s="36"/>
      <c r="E19" s="37"/>
    </row>
    <row r="20" spans="2:5" ht="16.5" thickTop="1" thickBot="1" x14ac:dyDescent="0.3"/>
    <row r="21" spans="2:5" ht="16.5" x14ac:dyDescent="0.25">
      <c r="B21" s="15" t="s">
        <v>36</v>
      </c>
      <c r="C21" s="16"/>
      <c r="D21" s="17"/>
      <c r="E21" s="18" t="s">
        <v>41</v>
      </c>
    </row>
    <row r="22" spans="2:5" x14ac:dyDescent="0.25">
      <c r="B22" s="21" t="s">
        <v>18</v>
      </c>
      <c r="C22" s="83">
        <f>30000+MIN((C8-1)*15000,75000)+MAX((C8-6),0)*8000</f>
        <v>45000</v>
      </c>
      <c r="D22" s="22"/>
      <c r="E22" s="23" t="str">
        <f>IF(C8&gt;1,"wird zu gleichen Teilen auf die Wohneinheiten verteilt","")</f>
        <v>wird zu gleichen Teilen auf die Wohneinheiten verteilt</v>
      </c>
    </row>
    <row r="23" spans="2:5" ht="30" x14ac:dyDescent="0.25">
      <c r="B23" s="28" t="s">
        <v>57</v>
      </c>
      <c r="C23" s="83">
        <f>IF(C11="ja",60000,30000)*C8</f>
        <v>120000</v>
      </c>
      <c r="D23" s="22"/>
      <c r="E23" s="23"/>
    </row>
    <row r="24" spans="2:5" ht="32.25" customHeight="1" x14ac:dyDescent="0.25">
      <c r="B24" s="28" t="s">
        <v>56</v>
      </c>
      <c r="C24" s="83">
        <f>IF(C8&lt;6,C23,0)</f>
        <v>120000</v>
      </c>
      <c r="D24" s="22"/>
      <c r="E24" s="40" t="str">
        <f>IF(C8&gt;5,"Heizungsoptimierung ist nur förderfähig bei Wohngebäuden mit bis zu 5 Wohneinheiten","")</f>
        <v/>
      </c>
    </row>
    <row r="25" spans="2:5" x14ac:dyDescent="0.25">
      <c r="B25" s="21" t="s">
        <v>20</v>
      </c>
      <c r="C25" s="83">
        <f>MIN(120000*C8,C14,IF(C9="Heizung",C22,C23))</f>
        <v>40000</v>
      </c>
      <c r="D25" s="22"/>
      <c r="E25" s="40"/>
    </row>
    <row r="26" spans="2:5" x14ac:dyDescent="0.25">
      <c r="B26" s="21" t="s">
        <v>28</v>
      </c>
      <c r="C26" s="83">
        <f>IF(C9="Heizung",0,MIN(20000,MAX(5000,C8*2000)))</f>
        <v>0</v>
      </c>
      <c r="D26" s="22"/>
      <c r="E26" s="40" t="str">
        <f>IF($C$9="Heizung","wird bei Heizungsmaßnahmen nicht extra gefördert","")</f>
        <v>wird bei Heizungsmaßnahmen nicht extra gefördert</v>
      </c>
    </row>
    <row r="27" spans="2:5" x14ac:dyDescent="0.25">
      <c r="B27" s="21"/>
      <c r="C27" s="84"/>
      <c r="D27" s="22"/>
      <c r="E27" s="23"/>
    </row>
    <row r="28" spans="2:5" ht="16.5" x14ac:dyDescent="0.25">
      <c r="B28" s="85" t="s">
        <v>16</v>
      </c>
      <c r="C28" s="86"/>
      <c r="D28" s="22"/>
      <c r="E28" s="23"/>
    </row>
    <row r="29" spans="2:5" ht="30" x14ac:dyDescent="0.25">
      <c r="B29" s="21" t="s">
        <v>18</v>
      </c>
      <c r="C29" s="88">
        <f>(MIN(IF(C10="nein",0.3,0.35)+IF(C12="ja",0.2,0)+IF(C13="ja",0.3,0),0.7)+(C8-1)*IF(C10="nein",0.3,0.35))/C8</f>
        <v>0.52499999999999991</v>
      </c>
      <c r="D29" s="22"/>
      <c r="E29" s="23" t="str">
        <f>IF(C8&gt;1,"ergibt sich als Mittelwert der Fördersätze für die erste und die weiteren Wohneinheiten","")</f>
        <v>ergibt sich als Mittelwert der Fördersätze für die erste und die weiteren Wohneinheiten</v>
      </c>
    </row>
    <row r="30" spans="2:5" ht="45" x14ac:dyDescent="0.25">
      <c r="B30" s="28" t="s">
        <v>53</v>
      </c>
      <c r="C30" s="87">
        <f>IF(C11="ja",0.2,0.15)</f>
        <v>0.2</v>
      </c>
      <c r="D30" s="22"/>
      <c r="E30" s="23"/>
    </row>
    <row r="31" spans="2:5" x14ac:dyDescent="0.25">
      <c r="B31" s="21" t="s">
        <v>28</v>
      </c>
      <c r="C31" s="87">
        <v>0.5</v>
      </c>
      <c r="D31" s="22"/>
      <c r="E31" s="23"/>
    </row>
    <row r="32" spans="2:5" x14ac:dyDescent="0.25">
      <c r="B32" s="21"/>
      <c r="C32" s="84"/>
      <c r="D32" s="22"/>
      <c r="E32" s="23"/>
    </row>
    <row r="33" spans="2:5" ht="16.5" x14ac:dyDescent="0.25">
      <c r="B33" s="85" t="s">
        <v>29</v>
      </c>
      <c r="C33" s="86"/>
      <c r="D33" s="22"/>
      <c r="E33" s="23"/>
    </row>
    <row r="34" spans="2:5" x14ac:dyDescent="0.25">
      <c r="B34" s="21" t="s">
        <v>10</v>
      </c>
      <c r="C34" s="83">
        <f>IF(C9="Heizung",MIN(C22,C14+C15),IF(C9="Heizungsoptimierung",MIN(C24,C14),MIN(C23,C14)))</f>
        <v>41000</v>
      </c>
      <c r="D34" s="22"/>
      <c r="E34" s="40" t="str">
        <f>IF($C$9="Heizung","enthält auch die Kosten für Planung und Baubegleitung","")</f>
        <v>enthält auch die Kosten für Planung und Baubegleitung</v>
      </c>
    </row>
    <row r="35" spans="2:5" x14ac:dyDescent="0.25">
      <c r="B35" s="21" t="s">
        <v>21</v>
      </c>
      <c r="C35" s="83">
        <f>IF(C9="Heizung",C29,C30)*C34</f>
        <v>21524.999999999996</v>
      </c>
      <c r="D35" s="22"/>
      <c r="E35" s="23"/>
    </row>
    <row r="36" spans="2:5" x14ac:dyDescent="0.25">
      <c r="B36" s="21" t="s">
        <v>25</v>
      </c>
      <c r="C36" s="88">
        <f>IF(C35=0,0,C35/IF(C9="Heizung",C14+C15,C14))</f>
        <v>0.52499999999999991</v>
      </c>
      <c r="D36" s="22"/>
      <c r="E36" s="23" t="s">
        <v>58</v>
      </c>
    </row>
    <row r="37" spans="2:5" x14ac:dyDescent="0.25">
      <c r="B37" s="21"/>
      <c r="C37" s="84"/>
      <c r="D37" s="22"/>
      <c r="E37" s="23"/>
    </row>
    <row r="38" spans="2:5" ht="16.5" x14ac:dyDescent="0.25">
      <c r="B38" s="85" t="s">
        <v>30</v>
      </c>
      <c r="C38" s="86"/>
      <c r="D38" s="22"/>
      <c r="E38" s="23"/>
    </row>
    <row r="39" spans="2:5" x14ac:dyDescent="0.25">
      <c r="B39" s="21" t="s">
        <v>10</v>
      </c>
      <c r="C39" s="83">
        <f>IF(C34&gt;0,MIN(C26,C15),0)</f>
        <v>0</v>
      </c>
      <c r="D39" s="22"/>
      <c r="E39" s="23"/>
    </row>
    <row r="40" spans="2:5" x14ac:dyDescent="0.25">
      <c r="B40" s="21" t="s">
        <v>21</v>
      </c>
      <c r="C40" s="83">
        <f>C39*C31</f>
        <v>0</v>
      </c>
      <c r="D40" s="22"/>
      <c r="E40" s="23"/>
    </row>
    <row r="41" spans="2:5" ht="15.75" thickBot="1" x14ac:dyDescent="0.3">
      <c r="B41" s="89" t="s">
        <v>25</v>
      </c>
      <c r="C41" s="90">
        <f>IF(C40=0,0,C40/C15)</f>
        <v>0</v>
      </c>
      <c r="D41" s="34"/>
      <c r="E41" s="42" t="s">
        <v>34</v>
      </c>
    </row>
  </sheetData>
  <sheetProtection algorithmName="SHA-512" hashValue="bdQYd2ssnRQR3XgzpG+bNVZQsiy2aAAZtlN0W9gVS5OOscPdNUX0bPHVFFu3AHwssQPdpKUFnG3mKwrf+BII0w==" saltValue="b5GFq5VbKOAElh3l6lppzg==" spinCount="100000" sheet="1" selectLockedCells="1"/>
  <dataValidations count="1">
    <dataValidation type="whole" operator="greaterThanOrEqual" allowBlank="1" showInputMessage="1" showErrorMessage="1" sqref="C8" xr:uid="{28CDC1C3-746B-4BE1-9304-CA761D9EC5B6}">
      <formula1>1</formula1>
    </dataValidation>
  </dataValidations>
  <hyperlinks>
    <hyperlink ref="C2" r:id="rId1" xr:uid="{14DA2043-6898-4A69-80E4-6F9812E0424E}"/>
  </hyperlinks>
  <pageMargins left="0.7" right="0.7" top="0.78740157499999996" bottom="0.78740157499999996" header="0.3" footer="0.3"/>
  <pageSetup paperSize="9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A03C46C-55FB-4EC3-8F02-3FF096282BE6}">
          <x14:formula1>
            <xm:f>Daten!$C$2:$C$3</xm:f>
          </x14:formula1>
          <xm:sqref>C11:C13</xm:sqref>
        </x14:dataValidation>
        <x14:dataValidation type="list" operator="greaterThanOrEqual" allowBlank="1" showInputMessage="1" showErrorMessage="1" xr:uid="{C7771C93-0178-4835-ACAB-3C3B3103F2A3}">
          <x14:formula1>
            <xm:f>Daten!$A$2:$A$5</xm:f>
          </x14:formula1>
          <xm:sqref>C9</xm:sqref>
        </x14:dataValidation>
        <x14:dataValidation type="list" operator="greaterThanOrEqual" allowBlank="1" showInputMessage="1" showErrorMessage="1" xr:uid="{66DE820A-E253-4B66-8919-CE72D3284D4C}">
          <x14:formula1>
            <xm:f>Daten!$C$2:$C$3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3E5E5-A662-4BA7-A74D-5337D22EE6F7}">
  <dimension ref="B1:H38"/>
  <sheetViews>
    <sheetView showGridLines="0" topLeftCell="A8" workbookViewId="0">
      <selection activeCell="C8" sqref="C8"/>
    </sheetView>
  </sheetViews>
  <sheetFormatPr baseColWidth="10" defaultRowHeight="15" x14ac:dyDescent="0.25"/>
  <cols>
    <col min="1" max="1" width="2.85546875" style="11" customWidth="1"/>
    <col min="2" max="2" width="34.5703125" style="11" customWidth="1"/>
    <col min="3" max="3" width="25.7109375" style="11" customWidth="1"/>
    <col min="4" max="4" width="7" style="11" customWidth="1"/>
    <col min="5" max="5" width="69.5703125" style="12" customWidth="1"/>
    <col min="6" max="6" width="11.42578125" style="11"/>
    <col min="7" max="7" width="30.140625" style="11" customWidth="1"/>
    <col min="8" max="8" width="38.28515625" style="11" customWidth="1"/>
    <col min="9" max="16384" width="11.42578125" style="11"/>
  </cols>
  <sheetData>
    <row r="1" spans="2:8" ht="47.25" customHeight="1" x14ac:dyDescent="0.5">
      <c r="B1" s="48" t="s">
        <v>24</v>
      </c>
    </row>
    <row r="2" spans="2:8" x14ac:dyDescent="0.25">
      <c r="B2" s="11" t="s">
        <v>59</v>
      </c>
      <c r="C2" s="52" t="s">
        <v>60</v>
      </c>
      <c r="E2" s="12" t="s">
        <v>61</v>
      </c>
    </row>
    <row r="5" spans="2:8" x14ac:dyDescent="0.25">
      <c r="B5" s="14" t="s">
        <v>84</v>
      </c>
    </row>
    <row r="6" spans="2:8" ht="15.75" thickBot="1" x14ac:dyDescent="0.3"/>
    <row r="7" spans="2:8" ht="20.25" thickBot="1" x14ac:dyDescent="0.35">
      <c r="B7" s="53" t="s">
        <v>6</v>
      </c>
      <c r="C7" s="54"/>
      <c r="D7" s="17"/>
      <c r="E7" s="55" t="s">
        <v>41</v>
      </c>
      <c r="G7" s="56" t="s">
        <v>49</v>
      </c>
      <c r="H7" s="57"/>
    </row>
    <row r="8" spans="2:8" ht="31.5" thickTop="1" thickBot="1" x14ac:dyDescent="0.3">
      <c r="B8" s="28" t="s">
        <v>65</v>
      </c>
      <c r="C8" s="50">
        <v>1200</v>
      </c>
      <c r="D8" s="22"/>
      <c r="E8" s="58" t="s">
        <v>66</v>
      </c>
      <c r="G8" s="24"/>
      <c r="H8" s="25"/>
    </row>
    <row r="9" spans="2:8" ht="45" x14ac:dyDescent="0.25">
      <c r="B9" s="21" t="s">
        <v>9</v>
      </c>
      <c r="C9" s="49" t="s">
        <v>18</v>
      </c>
      <c r="D9" s="22"/>
      <c r="E9" s="59" t="s">
        <v>47</v>
      </c>
      <c r="G9" s="44" t="s">
        <v>55</v>
      </c>
      <c r="H9" s="60">
        <f>SUM(C11:C12)</f>
        <v>61500</v>
      </c>
    </row>
    <row r="10" spans="2:8" ht="44.25" customHeight="1" x14ac:dyDescent="0.25">
      <c r="B10" s="28" t="s">
        <v>63</v>
      </c>
      <c r="C10" s="51" t="s">
        <v>13</v>
      </c>
      <c r="D10" s="22"/>
      <c r="E10" s="59" t="s">
        <v>64</v>
      </c>
      <c r="G10" s="43" t="s">
        <v>51</v>
      </c>
      <c r="H10" s="61">
        <f>H9-H11</f>
        <v>39975</v>
      </c>
    </row>
    <row r="11" spans="2:8" ht="33" customHeight="1" x14ac:dyDescent="0.25">
      <c r="B11" s="30" t="s">
        <v>42</v>
      </c>
      <c r="C11" s="31">
        <v>60000</v>
      </c>
      <c r="D11" s="22"/>
      <c r="E11" s="59" t="s">
        <v>43</v>
      </c>
      <c r="G11" s="43" t="s">
        <v>50</v>
      </c>
      <c r="H11" s="61">
        <f>SUM(C37,C32)</f>
        <v>21525</v>
      </c>
    </row>
    <row r="12" spans="2:8" ht="77.25" customHeight="1" thickBot="1" x14ac:dyDescent="0.3">
      <c r="B12" s="32" t="s">
        <v>31</v>
      </c>
      <c r="C12" s="33">
        <v>1500</v>
      </c>
      <c r="D12" s="34"/>
      <c r="E12" s="62" t="s">
        <v>44</v>
      </c>
      <c r="G12" s="43" t="s">
        <v>54</v>
      </c>
      <c r="H12" s="63">
        <f>IF(H9=0,0,H11/H9)</f>
        <v>0.35</v>
      </c>
    </row>
    <row r="13" spans="2:8" ht="30.75" customHeight="1" thickBot="1" x14ac:dyDescent="0.3">
      <c r="G13" s="81" t="s">
        <v>62</v>
      </c>
      <c r="H13" s="64">
        <f>C22</f>
        <v>60000</v>
      </c>
    </row>
    <row r="14" spans="2:8" ht="30" customHeight="1" x14ac:dyDescent="0.25">
      <c r="G14" s="29" t="s">
        <v>85</v>
      </c>
    </row>
    <row r="15" spans="2:8" x14ac:dyDescent="0.25">
      <c r="G15" s="29" t="s">
        <v>86</v>
      </c>
    </row>
    <row r="16" spans="2:8" ht="20.25" thickBot="1" x14ac:dyDescent="0.35">
      <c r="B16" s="65" t="s">
        <v>52</v>
      </c>
      <c r="C16" s="65"/>
      <c r="D16" s="65"/>
      <c r="E16" s="66"/>
    </row>
    <row r="17" spans="2:5" ht="16.5" thickTop="1" thickBot="1" x14ac:dyDescent="0.3"/>
    <row r="18" spans="2:5" ht="16.5" x14ac:dyDescent="0.25">
      <c r="B18" s="53" t="s">
        <v>36</v>
      </c>
      <c r="C18" s="54"/>
      <c r="D18" s="17"/>
      <c r="E18" s="55" t="s">
        <v>41</v>
      </c>
    </row>
    <row r="19" spans="2:5" x14ac:dyDescent="0.25">
      <c r="B19" s="38" t="s">
        <v>18</v>
      </c>
      <c r="C19" s="67">
        <f>MIN(IF(C8&lt;150,30000,MIN(C8,400)*200+MIN(MAX(C8-400,0)*120,72000)+MAX(0,C8-1000)*80),5000000)</f>
        <v>168000</v>
      </c>
      <c r="D19" s="22"/>
      <c r="E19" s="58"/>
    </row>
    <row r="20" spans="2:5" ht="30" x14ac:dyDescent="0.25">
      <c r="B20" s="39" t="s">
        <v>57</v>
      </c>
      <c r="C20" s="67">
        <f>500*C8</f>
        <v>600000</v>
      </c>
      <c r="D20" s="22"/>
      <c r="E20" s="58"/>
    </row>
    <row r="21" spans="2:5" ht="30.75" customHeight="1" x14ac:dyDescent="0.25">
      <c r="B21" s="39" t="s">
        <v>56</v>
      </c>
      <c r="C21" s="67">
        <f>IF(C8&lt;=1000,C8*500,0)</f>
        <v>0</v>
      </c>
      <c r="D21" s="22"/>
      <c r="E21" s="68" t="str">
        <f>IF(C8&gt;1000,"Heizungsoptimierung ist nur förderfähig bei Nichtwohngebäuden mit bis zu 1000 m² Nettogrundfläche","")</f>
        <v>Heizungsoptimierung ist nur förderfähig bei Nichtwohngebäuden mit bis zu 1000 m² Nettogrundfläche</v>
      </c>
    </row>
    <row r="22" spans="2:5" x14ac:dyDescent="0.25">
      <c r="B22" s="38" t="s">
        <v>20</v>
      </c>
      <c r="C22" s="67">
        <f>MIN(500*C8,5000000,C11,IF(C9="Heizung",C19,C20))</f>
        <v>60000</v>
      </c>
      <c r="D22" s="22"/>
      <c r="E22" s="68"/>
    </row>
    <row r="23" spans="2:5" x14ac:dyDescent="0.25">
      <c r="B23" s="38" t="s">
        <v>28</v>
      </c>
      <c r="C23" s="67">
        <f>IF(C9="Heizung",0,MIN(20000,5*C8))</f>
        <v>0</v>
      </c>
      <c r="D23" s="22"/>
      <c r="E23" s="40" t="str">
        <f>IF($C$9="Heizung","wird bei Heizungsmaßnahmen nicht extra gefördert","")</f>
        <v>wird bei Heizungsmaßnahmen nicht extra gefördert</v>
      </c>
    </row>
    <row r="24" spans="2:5" x14ac:dyDescent="0.25">
      <c r="B24" s="38"/>
      <c r="C24" s="22"/>
      <c r="D24" s="22"/>
      <c r="E24" s="58"/>
    </row>
    <row r="25" spans="2:5" ht="16.5" x14ac:dyDescent="0.25">
      <c r="B25" s="69" t="s">
        <v>16</v>
      </c>
      <c r="C25" s="70"/>
      <c r="D25" s="22"/>
      <c r="E25" s="58"/>
    </row>
    <row r="26" spans="2:5" x14ac:dyDescent="0.25">
      <c r="B26" s="38" t="s">
        <v>18</v>
      </c>
      <c r="C26" s="72">
        <f>IF(C10="nein",0.3,0.35)</f>
        <v>0.35</v>
      </c>
      <c r="D26" s="22"/>
      <c r="E26" s="58" t="s">
        <v>27</v>
      </c>
    </row>
    <row r="27" spans="2:5" ht="45" x14ac:dyDescent="0.25">
      <c r="B27" s="39" t="s">
        <v>53</v>
      </c>
      <c r="C27" s="71">
        <v>0.15</v>
      </c>
      <c r="D27" s="22"/>
      <c r="E27" s="58" t="s">
        <v>27</v>
      </c>
    </row>
    <row r="28" spans="2:5" x14ac:dyDescent="0.25">
      <c r="B28" s="38" t="s">
        <v>28</v>
      </c>
      <c r="C28" s="71">
        <v>0.5</v>
      </c>
      <c r="D28" s="22"/>
      <c r="E28" s="58" t="s">
        <v>27</v>
      </c>
    </row>
    <row r="29" spans="2:5" x14ac:dyDescent="0.25">
      <c r="B29" s="38"/>
      <c r="C29" s="22"/>
      <c r="D29" s="22"/>
      <c r="E29" s="58"/>
    </row>
    <row r="30" spans="2:5" ht="16.5" x14ac:dyDescent="0.25">
      <c r="B30" s="69" t="s">
        <v>29</v>
      </c>
      <c r="C30" s="70"/>
      <c r="D30" s="22"/>
      <c r="E30" s="58"/>
    </row>
    <row r="31" spans="2:5" x14ac:dyDescent="0.25">
      <c r="B31" s="38" t="s">
        <v>10</v>
      </c>
      <c r="C31" s="67">
        <f>IF(C9="Heizung",MIN(C19,C11+C12),IF(C9="Heizungsoptimierung",MIN(C11,C21),MIN(C16,C11)))</f>
        <v>61500</v>
      </c>
      <c r="D31" s="22"/>
      <c r="E31" s="40" t="str">
        <f>IF($C$9="Heizung","enthält auch die Kosten für Planung und Baubegleitung","")</f>
        <v>enthält auch die Kosten für Planung und Baubegleitung</v>
      </c>
    </row>
    <row r="32" spans="2:5" x14ac:dyDescent="0.25">
      <c r="B32" s="38" t="s">
        <v>21</v>
      </c>
      <c r="C32" s="67">
        <f>IF(C9="Heizung",C26,C27)*C31</f>
        <v>21525</v>
      </c>
      <c r="D32" s="22"/>
      <c r="E32" s="58"/>
    </row>
    <row r="33" spans="2:5" x14ac:dyDescent="0.25">
      <c r="B33" s="38" t="s">
        <v>25</v>
      </c>
      <c r="C33" s="72">
        <f>IF(C32=0,0,C32/IF(C9="Heizung",C11+C12,C11))</f>
        <v>0.35</v>
      </c>
      <c r="D33" s="22"/>
      <c r="E33" s="58" t="s">
        <v>58</v>
      </c>
    </row>
    <row r="34" spans="2:5" x14ac:dyDescent="0.25">
      <c r="B34" s="38"/>
      <c r="C34" s="22"/>
      <c r="D34" s="22"/>
      <c r="E34" s="58"/>
    </row>
    <row r="35" spans="2:5" ht="16.5" x14ac:dyDescent="0.25">
      <c r="B35" s="69" t="s">
        <v>30</v>
      </c>
      <c r="C35" s="70"/>
      <c r="D35" s="22"/>
      <c r="E35" s="58"/>
    </row>
    <row r="36" spans="2:5" x14ac:dyDescent="0.25">
      <c r="B36" s="38" t="s">
        <v>10</v>
      </c>
      <c r="C36" s="67">
        <f>IF(C31&gt;0,MIN(C23,C12),0)</f>
        <v>0</v>
      </c>
      <c r="D36" s="22"/>
      <c r="E36" s="58"/>
    </row>
    <row r="37" spans="2:5" x14ac:dyDescent="0.25">
      <c r="B37" s="38" t="s">
        <v>21</v>
      </c>
      <c r="C37" s="67">
        <f>C36*C28</f>
        <v>0</v>
      </c>
      <c r="D37" s="22"/>
      <c r="E37" s="58"/>
    </row>
    <row r="38" spans="2:5" ht="15.75" thickBot="1" x14ac:dyDescent="0.3">
      <c r="B38" s="41" t="s">
        <v>25</v>
      </c>
      <c r="C38" s="73">
        <f>IF(C37=0,0,C37/C12)</f>
        <v>0</v>
      </c>
      <c r="D38" s="34"/>
      <c r="E38" s="74" t="s">
        <v>34</v>
      </c>
    </row>
  </sheetData>
  <sheetProtection algorithmName="SHA-512" hashValue="eq5A9dHiCOpigMVSBYZkWnl0wN7XU8D3WtnZUge3QYJGyHDoU/rSlZIuWgh3KdriUwgL2oNAOL8aAPjney5aQA==" saltValue="UoMzhAncIg654Pd1HW+FlA==" spinCount="100000" sheet="1" selectLockedCells="1"/>
  <dataValidations count="1">
    <dataValidation type="whole" operator="greaterThanOrEqual" allowBlank="1" showInputMessage="1" showErrorMessage="1" sqref="C8" xr:uid="{52F8E83D-7E07-4235-AE39-D3BD514D62A1}">
      <formula1>1</formula1>
    </dataValidation>
  </dataValidations>
  <hyperlinks>
    <hyperlink ref="C2" r:id="rId1" xr:uid="{194005A0-4F82-4FBA-92E0-8A1D19134642}"/>
  </hyperlinks>
  <pageMargins left="0.7" right="0.7" top="0.78740157499999996" bottom="0.78740157499999996" header="0.3" footer="0.3"/>
  <pageSetup paperSize="9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operator="greaterThanOrEqual" allowBlank="1" showInputMessage="1" showErrorMessage="1" xr:uid="{77301860-1E59-4489-AF5E-E3CF7EA5526C}">
          <x14:formula1>
            <xm:f>Daten!$C$2:$C$3</xm:f>
          </x14:formula1>
          <xm:sqref>C10</xm:sqref>
        </x14:dataValidation>
        <x14:dataValidation type="list" operator="greaterThanOrEqual" allowBlank="1" showInputMessage="1" showErrorMessage="1" xr:uid="{C65B0285-DF3E-468E-9098-95A73FDFB8A3}">
          <x14:formula1>
            <xm:f>Daten!$A$2:$A$5</xm:f>
          </x14:formula1>
          <xm:sqref>C9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36BEC-CBEF-40B6-BDBC-154B33E315C4}">
  <dimension ref="A1:D33"/>
  <sheetViews>
    <sheetView workbookViewId="0">
      <selection activeCell="B28" sqref="B28"/>
    </sheetView>
  </sheetViews>
  <sheetFormatPr baseColWidth="10" defaultRowHeight="15" x14ac:dyDescent="0.25"/>
  <cols>
    <col min="1" max="1" width="29" customWidth="1"/>
    <col min="2" max="2" width="14.5703125" bestFit="1" customWidth="1"/>
  </cols>
  <sheetData>
    <row r="1" spans="1:4" ht="33.75" x14ac:dyDescent="0.5">
      <c r="A1" s="1" t="s">
        <v>24</v>
      </c>
    </row>
    <row r="2" spans="1:4" x14ac:dyDescent="0.25">
      <c r="A2" t="s">
        <v>0</v>
      </c>
    </row>
    <row r="3" spans="1:4" x14ac:dyDescent="0.25">
      <c r="A3" t="s">
        <v>1</v>
      </c>
    </row>
    <row r="5" spans="1:4" x14ac:dyDescent="0.25">
      <c r="A5" s="10" t="s">
        <v>40</v>
      </c>
    </row>
    <row r="7" spans="1:4" ht="18" thickBot="1" x14ac:dyDescent="0.35">
      <c r="A7" s="3" t="s">
        <v>6</v>
      </c>
      <c r="B7" s="3"/>
    </row>
    <row r="8" spans="1:4" ht="15.75" thickTop="1" x14ac:dyDescent="0.25">
      <c r="A8" t="s">
        <v>23</v>
      </c>
      <c r="B8" s="5">
        <v>3000</v>
      </c>
    </row>
    <row r="9" spans="1:4" x14ac:dyDescent="0.25">
      <c r="A9" t="s">
        <v>9</v>
      </c>
      <c r="B9" s="5" t="s">
        <v>22</v>
      </c>
    </row>
    <row r="10" spans="1:4" x14ac:dyDescent="0.25">
      <c r="A10" t="s">
        <v>38</v>
      </c>
      <c r="B10" s="5" t="s">
        <v>14</v>
      </c>
      <c r="D10" t="s">
        <v>37</v>
      </c>
    </row>
    <row r="11" spans="1:4" x14ac:dyDescent="0.25">
      <c r="A11" t="s">
        <v>17</v>
      </c>
      <c r="B11" s="6">
        <v>1305000</v>
      </c>
      <c r="D11" t="s">
        <v>32</v>
      </c>
    </row>
    <row r="12" spans="1:4" x14ac:dyDescent="0.25">
      <c r="A12" t="s">
        <v>28</v>
      </c>
      <c r="B12" s="8">
        <v>4500</v>
      </c>
      <c r="D12" t="s">
        <v>33</v>
      </c>
    </row>
    <row r="14" spans="1:4" ht="18" thickBot="1" x14ac:dyDescent="0.35">
      <c r="A14" s="3" t="s">
        <v>36</v>
      </c>
      <c r="B14" s="3"/>
    </row>
    <row r="15" spans="1:4" ht="15.75" thickTop="1" x14ac:dyDescent="0.25">
      <c r="A15" t="s">
        <v>18</v>
      </c>
      <c r="B15" s="4">
        <f>IF(B8&lt;=400,MAX(30000,B8*200),B8*IF(B8&gt;1000,400,320))</f>
        <v>1200000</v>
      </c>
    </row>
    <row r="16" spans="1:4" x14ac:dyDescent="0.25">
      <c r="A16" t="s">
        <v>19</v>
      </c>
      <c r="B16" s="4">
        <f>500*B8</f>
        <v>1500000</v>
      </c>
    </row>
    <row r="17" spans="1:4" x14ac:dyDescent="0.25">
      <c r="A17" t="s">
        <v>20</v>
      </c>
      <c r="B17" s="4">
        <f>MIN(5000000,500*B8)</f>
        <v>1500000</v>
      </c>
    </row>
    <row r="18" spans="1:4" x14ac:dyDescent="0.25">
      <c r="A18" t="s">
        <v>28</v>
      </c>
      <c r="B18" s="4">
        <f>MIN(20000,5*B8)</f>
        <v>15000</v>
      </c>
    </row>
    <row r="20" spans="1:4" ht="18" thickBot="1" x14ac:dyDescent="0.35">
      <c r="A20" s="3" t="s">
        <v>16</v>
      </c>
      <c r="B20" s="3"/>
    </row>
    <row r="21" spans="1:4" ht="15.75" thickTop="1" x14ac:dyDescent="0.25">
      <c r="A21" t="s">
        <v>18</v>
      </c>
      <c r="B21" s="9">
        <f>IF(B10="nein",0.3,0.35)</f>
        <v>0.3</v>
      </c>
      <c r="D21" t="s">
        <v>39</v>
      </c>
    </row>
    <row r="22" spans="1:4" x14ac:dyDescent="0.25">
      <c r="A22" t="s">
        <v>22</v>
      </c>
      <c r="B22" s="9">
        <v>0.15</v>
      </c>
      <c r="D22" t="s">
        <v>35</v>
      </c>
    </row>
    <row r="23" spans="1:4" x14ac:dyDescent="0.25">
      <c r="A23" t="s">
        <v>28</v>
      </c>
      <c r="B23" s="9">
        <v>0.5</v>
      </c>
      <c r="D23" t="s">
        <v>35</v>
      </c>
    </row>
    <row r="25" spans="1:4" ht="18" thickBot="1" x14ac:dyDescent="0.35">
      <c r="A25" s="3" t="s">
        <v>29</v>
      </c>
      <c r="B25" s="3"/>
    </row>
    <row r="26" spans="1:4" ht="15.75" thickTop="1" x14ac:dyDescent="0.25">
      <c r="A26" t="s">
        <v>10</v>
      </c>
      <c r="B26" s="4">
        <f>IF(B9="Heizung",MIN(B15,B11),MIN(B16,B11))</f>
        <v>1305000</v>
      </c>
    </row>
    <row r="27" spans="1:4" x14ac:dyDescent="0.25">
      <c r="A27" t="s">
        <v>21</v>
      </c>
      <c r="B27" s="4">
        <f>IF(B9="Heizung",B21,B22)*B26</f>
        <v>195750</v>
      </c>
    </row>
    <row r="28" spans="1:4" x14ac:dyDescent="0.25">
      <c r="A28" t="s">
        <v>25</v>
      </c>
      <c r="B28" s="7">
        <f>B27/B11</f>
        <v>0.15</v>
      </c>
      <c r="D28" t="s">
        <v>26</v>
      </c>
    </row>
    <row r="30" spans="1:4" ht="18" thickBot="1" x14ac:dyDescent="0.35">
      <c r="A30" s="3" t="s">
        <v>30</v>
      </c>
      <c r="B30" s="3"/>
    </row>
    <row r="31" spans="1:4" ht="15.75" thickTop="1" x14ac:dyDescent="0.25">
      <c r="A31" t="s">
        <v>10</v>
      </c>
      <c r="B31" s="4">
        <f>MIN(B18,B12)</f>
        <v>4500</v>
      </c>
    </row>
    <row r="32" spans="1:4" x14ac:dyDescent="0.25">
      <c r="A32" t="s">
        <v>21</v>
      </c>
      <c r="B32" s="4">
        <f>B31*B23</f>
        <v>2250</v>
      </c>
    </row>
    <row r="33" spans="1:4" x14ac:dyDescent="0.25">
      <c r="A33" t="s">
        <v>25</v>
      </c>
      <c r="B33" s="7">
        <f>B32/B12</f>
        <v>0.5</v>
      </c>
      <c r="D33" t="s">
        <v>34</v>
      </c>
    </row>
  </sheetData>
  <sheetProtection selectLockedCells="1"/>
  <dataValidations count="1">
    <dataValidation type="whole" operator="greaterThanOrEqual" allowBlank="1" showInputMessage="1" showErrorMessage="1" sqref="B8" xr:uid="{8024A0A9-EB37-4C67-9F30-79DF9E5FEEFC}">
      <formula1>1</formula1>
    </dataValidation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operator="greaterThanOrEqual" allowBlank="1" showInputMessage="1" showErrorMessage="1" xr:uid="{E96BB601-6A92-4018-9540-CB375FD027DB}">
          <x14:formula1>
            <xm:f>Daten!$A$2:$A$3</xm:f>
          </x14:formula1>
          <xm:sqref>B9</xm:sqref>
        </x14:dataValidation>
        <x14:dataValidation type="list" operator="greaterThanOrEqual" allowBlank="1" showInputMessage="1" showErrorMessage="1" xr:uid="{EF579409-53B6-4A5B-9A39-EE45BB4DD0A4}">
          <x14:formula1>
            <xm:f>Daten!$C$2:$C$3</xm:f>
          </x14:formula1>
          <xm:sqref>B10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F029E-237B-49A1-8C62-9785C35AE7E1}">
  <dimension ref="A1:C5"/>
  <sheetViews>
    <sheetView workbookViewId="0">
      <selection activeCell="A5" sqref="A5"/>
    </sheetView>
  </sheetViews>
  <sheetFormatPr baseColWidth="10" defaultRowHeight="15" x14ac:dyDescent="0.25"/>
  <cols>
    <col min="1" max="1" width="38.140625" customWidth="1"/>
    <col min="2" max="2" width="25.140625" customWidth="1"/>
  </cols>
  <sheetData>
    <row r="1" spans="1:3" x14ac:dyDescent="0.25">
      <c r="A1" s="2" t="s">
        <v>2</v>
      </c>
      <c r="B1" s="2" t="s">
        <v>3</v>
      </c>
      <c r="C1" s="2" t="s">
        <v>12</v>
      </c>
    </row>
    <row r="2" spans="1:3" x14ac:dyDescent="0.25">
      <c r="A2" t="s">
        <v>18</v>
      </c>
      <c r="B2" t="s">
        <v>4</v>
      </c>
      <c r="C2" t="s">
        <v>13</v>
      </c>
    </row>
    <row r="3" spans="1:3" x14ac:dyDescent="0.25">
      <c r="A3" t="s">
        <v>75</v>
      </c>
      <c r="B3" t="s">
        <v>5</v>
      </c>
      <c r="C3" t="s">
        <v>14</v>
      </c>
    </row>
    <row r="4" spans="1:3" x14ac:dyDescent="0.25">
      <c r="A4" t="s">
        <v>76</v>
      </c>
    </row>
    <row r="5" spans="1:3" x14ac:dyDescent="0.25">
      <c r="A5" t="s">
        <v>56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283D3-2D3B-400F-8048-5B339A6DBF99}">
  <dimension ref="A2:D20"/>
  <sheetViews>
    <sheetView showGridLines="0" workbookViewId="0">
      <selection activeCell="C19" sqref="C19"/>
    </sheetView>
  </sheetViews>
  <sheetFormatPr baseColWidth="10" defaultRowHeight="15" x14ac:dyDescent="0.25"/>
  <cols>
    <col min="2" max="2" width="113.7109375" customWidth="1"/>
    <col min="3" max="3" width="29.28515625" bestFit="1" customWidth="1"/>
  </cols>
  <sheetData>
    <row r="2" spans="1:4" ht="23.25" x14ac:dyDescent="0.35">
      <c r="A2" s="75"/>
      <c r="B2" s="76" t="s">
        <v>73</v>
      </c>
      <c r="C2" s="77" t="s">
        <v>71</v>
      </c>
      <c r="D2" s="76"/>
    </row>
    <row r="5" spans="1:4" ht="23.25" x14ac:dyDescent="0.35">
      <c r="B5" s="76" t="s">
        <v>67</v>
      </c>
      <c r="C5" s="80" t="s">
        <v>72</v>
      </c>
    </row>
    <row r="7" spans="1:4" x14ac:dyDescent="0.25">
      <c r="B7" s="11" t="s">
        <v>68</v>
      </c>
    </row>
    <row r="8" spans="1:4" x14ac:dyDescent="0.25">
      <c r="B8" s="11" t="s">
        <v>69</v>
      </c>
    </row>
    <row r="9" spans="1:4" x14ac:dyDescent="0.25">
      <c r="B9" s="11" t="s">
        <v>74</v>
      </c>
    </row>
    <row r="10" spans="1:4" x14ac:dyDescent="0.25">
      <c r="B10" s="78" t="s">
        <v>70</v>
      </c>
    </row>
    <row r="14" spans="1:4" x14ac:dyDescent="0.25">
      <c r="B14" s="79" t="s">
        <v>77</v>
      </c>
    </row>
    <row r="15" spans="1:4" x14ac:dyDescent="0.25">
      <c r="B15" s="11"/>
    </row>
    <row r="16" spans="1:4" x14ac:dyDescent="0.25">
      <c r="B16" s="11" t="s">
        <v>83</v>
      </c>
    </row>
    <row r="18" spans="2:3" x14ac:dyDescent="0.25">
      <c r="B18" s="11" t="s">
        <v>80</v>
      </c>
      <c r="C18" s="82" t="s">
        <v>81</v>
      </c>
    </row>
    <row r="19" spans="2:3" x14ac:dyDescent="0.25">
      <c r="B19" s="11" t="s">
        <v>78</v>
      </c>
      <c r="C19" s="82" t="s">
        <v>82</v>
      </c>
    </row>
    <row r="20" spans="2:3" x14ac:dyDescent="0.25">
      <c r="B20" s="11" t="s">
        <v>79</v>
      </c>
    </row>
  </sheetData>
  <sheetProtection algorithmName="SHA-512" hashValue="78iZpWaCRvKb2BxWB4/W/SjaPiZuDUuRyHobwhkslyURrCTdO0KFYorKik1iDN/ZXzkweQdHEirpKHZdcE2ELw==" saltValue="q4NTucD1bvFXI0hLzTfwWw==" spinCount="100000" sheet="1" objects="1" scenarios="1" selectLockedCells="1"/>
  <hyperlinks>
    <hyperlink ref="A2" r:id="rId1" display="http://creativecommons.org/licenses/by-nc/4.0/?ref=chooser-v1" xr:uid="{9B4644E3-A226-4D50-82CB-C5119C139298}"/>
    <hyperlink ref="C18" r:id="rId2" xr:uid="{58922D34-AD66-472C-AE72-B22674A11EEF}"/>
    <hyperlink ref="C19" r:id="rId3" xr:uid="{ADEC75CA-C542-4E30-BEF7-AF016A613DE8}"/>
    <hyperlink ref="C5" r:id="rId4" xr:uid="{4B1B59F1-2A6A-42C5-A227-7AE205759D51}"/>
  </hyperlinks>
  <pageMargins left="0.7" right="0.7" top="0.78740157499999996" bottom="0.78740157499999996" header="0.3" footer="0.3"/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9264433950644CB0D9AE3475C6364B" ma:contentTypeVersion="18" ma:contentTypeDescription="Ein neues Dokument erstellen." ma:contentTypeScope="" ma:versionID="78d7b4cc1340cd64094221953ee99a59">
  <xsd:schema xmlns:xsd="http://www.w3.org/2001/XMLSchema" xmlns:xs="http://www.w3.org/2001/XMLSchema" xmlns:p="http://schemas.microsoft.com/office/2006/metadata/properties" xmlns:ns2="31cf9c11-c69a-46a1-8edb-17319be20478" xmlns:ns3="0bf4602e-b54c-43c9-9d99-8fa17fe9aba6" targetNamespace="http://schemas.microsoft.com/office/2006/metadata/properties" ma:root="true" ma:fieldsID="d6bc3d0ae2304d596cb5bb73406b78d8" ns2:_="" ns3:_="">
    <xsd:import namespace="31cf9c11-c69a-46a1-8edb-17319be20478"/>
    <xsd:import namespace="0bf4602e-b54c-43c9-9d99-8fa17fe9ab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cf9c11-c69a-46a1-8edb-17319be204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ildmarkierungen" ma:readOnly="false" ma:fieldId="{5cf76f15-5ced-4ddc-b409-7134ff3c332f}" ma:taxonomyMulti="true" ma:sspId="565af3d8-5e9f-42bc-9516-e94c3d87a7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f4602e-b54c-43c9-9d99-8fa17fe9aba6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932b9ba-8b8d-44c5-a342-01fa2a51c6e5}" ma:internalName="TaxCatchAll" ma:showField="CatchAllData" ma:web="0bf4602e-b54c-43c9-9d99-8fa17fe9ab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549149-4DB9-41EB-941F-2F88645430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cf9c11-c69a-46a1-8edb-17319be20478"/>
    <ds:schemaRef ds:uri="0bf4602e-b54c-43c9-9d99-8fa17fe9ab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8263EC-B8E4-47F6-A4E2-C48BE1ED92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Wohngebäude</vt:lpstr>
      <vt:lpstr>Nichtwohngebäude</vt:lpstr>
      <vt:lpstr>NWG</vt:lpstr>
      <vt:lpstr>Daten</vt:lpstr>
      <vt:lpstr>Lizenz und Hinweise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Schinke</dc:creator>
  <cp:lastModifiedBy>Carsten Schinke</cp:lastModifiedBy>
  <dcterms:created xsi:type="dcterms:W3CDTF">2024-01-02T14:44:17Z</dcterms:created>
  <dcterms:modified xsi:type="dcterms:W3CDTF">2024-12-12T14:07:19Z</dcterms:modified>
</cp:coreProperties>
</file>